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3F94FD24-420A-429B-942E-21B41F7348DC}" xr6:coauthVersionLast="47" xr6:coauthVersionMax="47" xr10:uidLastSave="{00000000-0000-0000-0000-000000000000}"/>
  <bookViews>
    <workbookView xWindow="4965" yWindow="2520" windowWidth="24705" windowHeight="15645" xr2:uid="{00000000-000D-0000-FFFF-FFFF00000000}"/>
  </bookViews>
  <sheets>
    <sheet name="FH2024_ja" sheetId="8" r:id="rId1"/>
  </sheets>
  <definedNames>
    <definedName name="_xlnm.Print_Area" localSheetId="0">FH2024_ja!$A$1:$R$52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8" l="1"/>
  <c r="H47" i="8"/>
  <c r="G47" i="8"/>
  <c r="F47" i="8"/>
  <c r="E47" i="8"/>
  <c r="I46" i="8"/>
  <c r="H46" i="8"/>
  <c r="G46" i="8"/>
  <c r="F46" i="8"/>
  <c r="E46" i="8"/>
  <c r="N38" i="8"/>
  <c r="M38" i="8"/>
  <c r="L38" i="8"/>
  <c r="K38" i="8"/>
  <c r="J38" i="8"/>
  <c r="I38" i="8"/>
  <c r="H38" i="8"/>
  <c r="G38" i="8"/>
  <c r="F38" i="8"/>
  <c r="E38" i="8"/>
  <c r="L34" i="8"/>
  <c r="K34" i="8"/>
  <c r="J34" i="8"/>
  <c r="I34" i="8"/>
  <c r="H34" i="8"/>
  <c r="G34" i="8"/>
  <c r="F34" i="8"/>
  <c r="E34" i="8"/>
  <c r="L33" i="8"/>
  <c r="K33" i="8"/>
  <c r="J33" i="8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P27" i="8"/>
  <c r="P25" i="8"/>
  <c r="N25" i="8"/>
  <c r="N27" i="8" s="1"/>
  <c r="P19" i="8"/>
  <c r="P20" i="8" s="1"/>
  <c r="N19" i="8"/>
  <c r="N20" i="8" s="1"/>
</calcChain>
</file>

<file path=xl/sharedStrings.xml><?xml version="1.0" encoding="utf-8"?>
<sst xmlns="http://schemas.openxmlformats.org/spreadsheetml/2006/main" count="79" uniqueCount="58">
  <si>
    <t>財務ハイライト</t>
    <phoneticPr fontId="3"/>
  </si>
  <si>
    <t>三菱商事株式会社および連結子会社</t>
  </si>
  <si>
    <t>3月31日に終了した事業年度</t>
  </si>
  <si>
    <t>当社は、国際会計基準（IFRS）に準拠した連結財務諸表を作成しています。</t>
    <phoneticPr fontId="3"/>
  </si>
  <si>
    <t>単位: 百万円</t>
    <rPh sb="0" eb="2">
      <t>タンイ</t>
    </rPh>
    <rPh sb="4" eb="7">
      <t>ヒャクマンエン</t>
    </rPh>
    <phoneticPr fontId="3"/>
  </si>
  <si>
    <t>単位:百万円</t>
    <rPh sb="5" eb="6">
      <t>エン</t>
    </rPh>
    <phoneticPr fontId="3"/>
  </si>
  <si>
    <t>単位:百万米ドル</t>
    <rPh sb="0" eb="2">
      <t>タンイ</t>
    </rPh>
    <rPh sb="3" eb="5">
      <t>ヒャクマン</t>
    </rPh>
    <rPh sb="5" eb="6">
      <t>ベイ</t>
    </rPh>
    <phoneticPr fontId="3"/>
  </si>
  <si>
    <t>（U.S. GAAP）</t>
  </si>
  <si>
    <t>(IFRS)</t>
    <phoneticPr fontId="3"/>
  </si>
  <si>
    <t>当期業績：</t>
  </si>
  <si>
    <t>売上総利益</t>
    <phoneticPr fontId="3"/>
  </si>
  <si>
    <t>持分法による投資損益</t>
    <phoneticPr fontId="3"/>
  </si>
  <si>
    <t>当期純利益（純損失）（三菱商事の所有者に帰属）</t>
    <rPh sb="0" eb="2">
      <t>トウキ</t>
    </rPh>
    <rPh sb="2" eb="5">
      <t>ジュンリエキ</t>
    </rPh>
    <rPh sb="6" eb="7">
      <t>ジュン</t>
    </rPh>
    <rPh sb="7" eb="9">
      <t>ソンシツ</t>
    </rPh>
    <rPh sb="11" eb="13">
      <t>ミツビシ</t>
    </rPh>
    <rPh sb="13" eb="15">
      <t>ショウジ</t>
    </rPh>
    <rPh sb="16" eb="19">
      <t>ショユウシャ</t>
    </rPh>
    <rPh sb="20" eb="22">
      <t>キゾク</t>
    </rPh>
    <phoneticPr fontId="3"/>
  </si>
  <si>
    <t>事業年度末の財政状態：</t>
  </si>
  <si>
    <t>資産合計</t>
    <rPh sb="0" eb="2">
      <t>シサン</t>
    </rPh>
    <rPh sb="2" eb="4">
      <t>ゴウケイ</t>
    </rPh>
    <phoneticPr fontId="3"/>
  </si>
  <si>
    <t>社債及び借入金（1年内期限到来分を除く）</t>
    <rPh sb="0" eb="2">
      <t>シャサイ</t>
    </rPh>
    <rPh sb="2" eb="3">
      <t>オヨ</t>
    </rPh>
    <rPh sb="4" eb="6">
      <t>カリイレ</t>
    </rPh>
    <rPh sb="6" eb="7">
      <t>キン</t>
    </rPh>
    <rPh sb="9" eb="11">
      <t>ネンナイ</t>
    </rPh>
    <rPh sb="11" eb="13">
      <t>キゲン</t>
    </rPh>
    <rPh sb="13" eb="15">
      <t>トウライ</t>
    </rPh>
    <rPh sb="15" eb="16">
      <t>ブン</t>
    </rPh>
    <rPh sb="17" eb="18">
      <t>ノゾ</t>
    </rPh>
    <phoneticPr fontId="3"/>
  </si>
  <si>
    <t>資本（当社の所有者に帰属する持分）</t>
    <rPh sb="0" eb="2">
      <t>シホン</t>
    </rPh>
    <rPh sb="3" eb="5">
      <t>トウシャ</t>
    </rPh>
    <rPh sb="6" eb="9">
      <t>ショユウシャ</t>
    </rPh>
    <rPh sb="10" eb="12">
      <t>キゾク</t>
    </rPh>
    <rPh sb="14" eb="16">
      <t>モチブン</t>
    </rPh>
    <phoneticPr fontId="3"/>
  </si>
  <si>
    <t>キャッシュ・フロー：</t>
    <phoneticPr fontId="3"/>
  </si>
  <si>
    <t>営業活動によるキャッシュ・フロー</t>
    <phoneticPr fontId="3"/>
  </si>
  <si>
    <t>投資活動によるキャッシュ・フロー</t>
    <phoneticPr fontId="3"/>
  </si>
  <si>
    <t>▲177,466</t>
    <phoneticPr fontId="3"/>
  </si>
  <si>
    <t xml:space="preserve">    フリーキャッシュ・フロー</t>
    <phoneticPr fontId="3"/>
  </si>
  <si>
    <t>財務活動によるキャッシュ・フロー</t>
    <phoneticPr fontId="3"/>
  </si>
  <si>
    <t>▲1,766,638</t>
    <phoneticPr fontId="3"/>
  </si>
  <si>
    <t>ネット・キャッシュ・フロー</t>
    <phoneticPr fontId="3"/>
  </si>
  <si>
    <t>▲13,966</t>
    <phoneticPr fontId="3"/>
  </si>
  <si>
    <t>1株当たり情報：</t>
    <phoneticPr fontId="3"/>
  </si>
  <si>
    <t>1株当たり当期純利益（純損失）（当社の所有者に帰属）：</t>
    <phoneticPr fontId="3"/>
  </si>
  <si>
    <t>–</t>
  </si>
  <si>
    <t>-</t>
    <phoneticPr fontId="3"/>
  </si>
  <si>
    <t>株式：</t>
  </si>
  <si>
    <t>財務指標：</t>
    <phoneticPr fontId="3"/>
  </si>
  <si>
    <t>株価情報：</t>
    <phoneticPr fontId="3"/>
  </si>
  <si>
    <r>
      <t xml:space="preserve">収益 </t>
    </r>
    <r>
      <rPr>
        <vertAlign val="superscript"/>
        <sz val="11"/>
        <color theme="1"/>
        <rFont val="ＭＳ Ｐゴシック"/>
        <family val="3"/>
        <charset val="128"/>
      </rPr>
      <t>＊1</t>
    </r>
    <phoneticPr fontId="3"/>
  </si>
  <si>
    <r>
      <t>有利子負債</t>
    </r>
    <r>
      <rPr>
        <vertAlign val="superscript"/>
        <sz val="11"/>
        <color theme="1"/>
        <rFont val="ＭＳ Ｐゴシック"/>
        <family val="3"/>
        <charset val="128"/>
      </rPr>
      <t>＊2</t>
    </r>
    <phoneticPr fontId="3"/>
  </si>
  <si>
    <r>
      <t>ネット有利子負債</t>
    </r>
    <r>
      <rPr>
        <vertAlign val="superscript"/>
        <sz val="11"/>
        <color theme="1"/>
        <rFont val="ＭＳ Ｐゴシック"/>
        <family val="3"/>
        <charset val="128"/>
      </rPr>
      <t>＊3</t>
    </r>
    <phoneticPr fontId="3"/>
  </si>
  <si>
    <r>
      <t>　基本的（円、米ドル）</t>
    </r>
    <r>
      <rPr>
        <vertAlign val="superscript"/>
        <sz val="11"/>
        <color theme="1"/>
        <rFont val="ＭＳ Ｐゴシック"/>
        <family val="3"/>
        <charset val="128"/>
      </rPr>
      <t>＊4</t>
    </r>
    <rPh sb="1" eb="4">
      <t>キホンテキ</t>
    </rPh>
    <rPh sb="5" eb="6">
      <t>エン</t>
    </rPh>
    <rPh sb="7" eb="8">
      <t>ベイ</t>
    </rPh>
    <phoneticPr fontId="3"/>
  </si>
  <si>
    <t>配当性向 （%）</t>
    <phoneticPr fontId="3"/>
  </si>
  <si>
    <t xml:space="preserve"> </t>
    <phoneticPr fontId="3"/>
  </si>
  <si>
    <t>ROE（親会社所有者帰属持分当期利益率） (%)</t>
    <rPh sb="4" eb="7">
      <t>オヤカイシャ</t>
    </rPh>
    <rPh sb="7" eb="9">
      <t>ショユウ</t>
    </rPh>
    <rPh sb="9" eb="10">
      <t>シャ</t>
    </rPh>
    <rPh sb="10" eb="12">
      <t>キゾク</t>
    </rPh>
    <rPh sb="12" eb="14">
      <t>モチブン</t>
    </rPh>
    <rPh sb="14" eb="16">
      <t>トウキ</t>
    </rPh>
    <rPh sb="16" eb="18">
      <t>リエキ</t>
    </rPh>
    <rPh sb="18" eb="19">
      <t>リツ</t>
    </rPh>
    <phoneticPr fontId="3"/>
  </si>
  <si>
    <t>ROA（資産合計税引前利益率） （%）</t>
    <rPh sb="4" eb="6">
      <t>シサン</t>
    </rPh>
    <rPh sb="6" eb="8">
      <t>ゴウケイ</t>
    </rPh>
    <rPh sb="8" eb="10">
      <t>ゼイビ</t>
    </rPh>
    <rPh sb="10" eb="11">
      <t>マエ</t>
    </rPh>
    <rPh sb="11" eb="14">
      <t>リエキリツ</t>
    </rPh>
    <phoneticPr fontId="3"/>
  </si>
  <si>
    <t>DOE（親会社所有者帰属持分配当率）（%)</t>
    <rPh sb="4" eb="7">
      <t>オヤカイシャ</t>
    </rPh>
    <rPh sb="7" eb="10">
      <t>ショユウシャ</t>
    </rPh>
    <rPh sb="10" eb="12">
      <t>キゾク</t>
    </rPh>
    <rPh sb="12" eb="14">
      <t>モチブン</t>
    </rPh>
    <rPh sb="14" eb="17">
      <t>ハイトウリツ</t>
    </rPh>
    <phoneticPr fontId="3"/>
  </si>
  <si>
    <t>＊2 ｢有利子負債（リース負債除く）」は流動負債および非流動負債の「社債及び借入金」の合計額となる。</t>
    <phoneticPr fontId="3"/>
  </si>
  <si>
    <t>＊3 ｢ネット有利子負債」は、有利子負債から現金及び現金同等物と定期預金を差し引いたもの。</t>
    <phoneticPr fontId="3"/>
  </si>
  <si>
    <t>（注） 2020年3月期よりIFRS第16号「リース」を適用し、使用権資産を計上したことに伴い資産合計が増加している。また、リース負債支払額が、営業活動によるキャッシュ・フローから、財務活動によるキャッシュ・フローに組み替えられている。米ドル金額は便宜的に1米ドル＝151円で換算している。</t>
    <phoneticPr fontId="3"/>
  </si>
  <si>
    <t>＊5 2015年3月期から2024年3月期の株価については、株式分割後の最高株価、最低株価を記載している。</t>
    <phoneticPr fontId="3"/>
  </si>
  <si>
    <t>＊6 ｢PER」は、期末終値（東証株価）に、基本的1株当たり当期純利益（純損失）（当社の所有者に帰属）を除して計算している。</t>
    <phoneticPr fontId="3"/>
  </si>
  <si>
    <t>＊7 ｢PBR」は、期末終値（東証株価）に、1株当たり当社所有者帰属持分を除して計算している。</t>
    <phoneticPr fontId="3"/>
  </si>
  <si>
    <t>＊4 当社は、2024年1月1日付で普通株式1株につき3株の割合で株式分割を行っている。2014年度の期首に当該株式分割が行われたと仮定して、「基本的1株当たり当期純利益」「希薄化後1株当たり当期純利益」「1株当たり配当金」「1株当たり当社所有者帰属持分」「発行済株式総数」を算出している。また、「発行済株式総数」については、当社が保有する自己株式は含まれていない。</t>
    <phoneticPr fontId="3"/>
  </si>
  <si>
    <r>
      <rPr>
        <sz val="8"/>
        <color rgb="FF3F3B3A"/>
        <rFont val="ＭＳ Ｐゴシック"/>
        <family val="2"/>
        <charset val="128"/>
        <scheme val="major"/>
      </rPr>
      <t>＊1 2019年3月期よりIFRS第15号「顧客との契約から生じる収益」を適用した結果、財またはサービスの移転を本人としての履行義務と識別し、対価の総額を収益として認識する取引が増加したことで、収益は前期実績を上回る結果となった。</t>
    </r>
    <phoneticPr fontId="3"/>
  </si>
  <si>
    <r>
      <t>　希薄化後（円、米ドル）</t>
    </r>
    <r>
      <rPr>
        <vertAlign val="superscript"/>
        <sz val="11"/>
        <color theme="1"/>
        <rFont val="ＭＳ Ｐゴシック"/>
        <family val="3"/>
        <charset val="128"/>
      </rPr>
      <t>＊4</t>
    </r>
    <rPh sb="1" eb="4">
      <t>キハクカ</t>
    </rPh>
    <rPh sb="4" eb="5">
      <t>ゴ</t>
    </rPh>
    <rPh sb="6" eb="7">
      <t>エン</t>
    </rPh>
    <rPh sb="8" eb="9">
      <t>ベイ</t>
    </rPh>
    <phoneticPr fontId="3"/>
  </si>
  <si>
    <r>
      <t>配当金（円、米ドル）</t>
    </r>
    <r>
      <rPr>
        <vertAlign val="superscript"/>
        <sz val="11"/>
        <color theme="1"/>
        <rFont val="ＭＳ Ｐゴシック"/>
        <family val="3"/>
        <charset val="128"/>
      </rPr>
      <t>＊4</t>
    </r>
    <phoneticPr fontId="3"/>
  </si>
  <si>
    <r>
      <t>1株当たり当社所有者帰属持分（円）</t>
    </r>
    <r>
      <rPr>
        <vertAlign val="superscript"/>
        <sz val="11"/>
        <color theme="1"/>
        <rFont val="ＭＳ Ｐゴシック"/>
        <family val="3"/>
        <charset val="128"/>
      </rPr>
      <t>＊4</t>
    </r>
    <rPh sb="1" eb="2">
      <t>カブ</t>
    </rPh>
    <rPh sb="2" eb="3">
      <t>ア</t>
    </rPh>
    <rPh sb="5" eb="7">
      <t>トウシャ</t>
    </rPh>
    <rPh sb="7" eb="9">
      <t>ショユウ</t>
    </rPh>
    <rPh sb="9" eb="10">
      <t>シャ</t>
    </rPh>
    <rPh sb="10" eb="12">
      <t>キゾク</t>
    </rPh>
    <rPh sb="12" eb="14">
      <t>モチブン</t>
    </rPh>
    <rPh sb="15" eb="16">
      <t>エン</t>
    </rPh>
    <phoneticPr fontId="3"/>
  </si>
  <si>
    <r>
      <t>期末発行済株式数</t>
    </r>
    <r>
      <rPr>
        <vertAlign val="superscript"/>
        <sz val="11"/>
        <color theme="1"/>
        <rFont val="ＭＳ Ｐゴシック"/>
        <family val="3"/>
        <charset val="128"/>
      </rPr>
      <t>＊4</t>
    </r>
    <r>
      <rPr>
        <sz val="11"/>
        <color theme="1"/>
        <rFont val="ＭＳ Ｐゴシック"/>
        <family val="3"/>
        <charset val="128"/>
      </rPr>
      <t>（千株）</t>
    </r>
    <phoneticPr fontId="3"/>
  </si>
  <si>
    <r>
      <t>最高株価（円、米ドル）</t>
    </r>
    <r>
      <rPr>
        <vertAlign val="superscript"/>
        <sz val="11"/>
        <color theme="1"/>
        <rFont val="ＭＳ Ｐゴシック"/>
        <family val="3"/>
        <charset val="128"/>
      </rPr>
      <t>*5</t>
    </r>
    <rPh sb="0" eb="2">
      <t>サイコウ</t>
    </rPh>
    <rPh sb="2" eb="4">
      <t>カブカ</t>
    </rPh>
    <phoneticPr fontId="3"/>
  </si>
  <si>
    <r>
      <t>最低株価（円、米ドル）</t>
    </r>
    <r>
      <rPr>
        <vertAlign val="superscript"/>
        <sz val="11"/>
        <color theme="1"/>
        <rFont val="ＭＳ Ｐゴシック"/>
        <family val="3"/>
        <charset val="128"/>
      </rPr>
      <t>*5</t>
    </r>
    <rPh sb="0" eb="2">
      <t>サイテイ</t>
    </rPh>
    <rPh sb="2" eb="4">
      <t>カブカ</t>
    </rPh>
    <phoneticPr fontId="3"/>
  </si>
  <si>
    <r>
      <t>株価収益率（PER）</t>
    </r>
    <r>
      <rPr>
        <vertAlign val="superscript"/>
        <sz val="11"/>
        <color theme="1"/>
        <rFont val="ＭＳ Ｐゴシック"/>
        <family val="3"/>
        <charset val="128"/>
      </rPr>
      <t>*6</t>
    </r>
    <r>
      <rPr>
        <sz val="11"/>
        <color theme="1"/>
        <rFont val="ＭＳ Ｐゴシック"/>
        <family val="3"/>
        <charset val="128"/>
      </rPr>
      <t>（倍）</t>
    </r>
    <phoneticPr fontId="3"/>
  </si>
  <si>
    <r>
      <t>株価純資産倍率（PBR）</t>
    </r>
    <r>
      <rPr>
        <vertAlign val="superscript"/>
        <sz val="11"/>
        <color theme="1"/>
        <rFont val="ＭＳ Ｐゴシック"/>
        <family val="3"/>
        <charset val="128"/>
      </rPr>
      <t>*7</t>
    </r>
    <r>
      <rPr>
        <sz val="11"/>
        <color theme="1"/>
        <rFont val="ＭＳ Ｐゴシック"/>
        <family val="3"/>
        <charset val="128"/>
      </rPr>
      <t>（倍）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</si>
</sst>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7" formatCode="&quot;¥&quot;#,##0.00;&quot;¥&quot;\-#,##0.00"/>
    <numFmt numFmtId="176" formatCode="#,##0.0;[Red]\-#,##0.0"/>
    <numFmt numFmtId="177" formatCode="0.00_ "/>
    <numFmt numFmtId="178" formatCode="#,##0;&quot;▲ &quot;#,##0"/>
    <numFmt numFmtId="179" formatCode="0.0;&quot;▲ &quot;0.0"/>
    <numFmt numFmtId="180" formatCode="#,##0.00;&quot;▲ &quot;#,##0.00"/>
    <numFmt numFmtId="181" formatCode="0.0%"/>
    <numFmt numFmtId="182" formatCode="[$$-409]#,##0;[$$-409]#,##0"/>
    <numFmt numFmtId="183" formatCode="[$$-409]#,##0;\-[$$-409]#,##0"/>
    <numFmt numFmtId="184" formatCode="[$$-409]#,##0.00;[$$-409]#,##0.00"/>
    <numFmt numFmtId="185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i/>
      <sz val="9"/>
      <color theme="1"/>
      <name val="Helvetica"/>
      <family val="2"/>
    </font>
    <font>
      <sz val="8"/>
      <color theme="1"/>
      <name val="ＭＳ Ｐゴシック"/>
      <family val="2"/>
      <charset val="128"/>
      <scheme val="major"/>
    </font>
    <font>
      <sz val="8"/>
      <color rgb="FF3F3B3A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38" fontId="7" fillId="0" borderId="0" xfId="1" applyFont="1" applyFill="1">
      <alignment vertical="center"/>
    </xf>
    <xf numFmtId="3" fontId="7" fillId="0" borderId="0" xfId="0" applyNumberFormat="1" applyFont="1">
      <alignment vertical="center"/>
    </xf>
    <xf numFmtId="181" fontId="7" fillId="0" borderId="0" xfId="6" applyNumberFormat="1" applyFont="1">
      <alignment vertical="center"/>
    </xf>
    <xf numFmtId="0" fontId="9" fillId="0" borderId="0" xfId="0" applyFont="1" applyAlignment="1">
      <alignment horizontal="right" vertical="center"/>
    </xf>
    <xf numFmtId="7" fontId="9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>
      <alignment vertical="center"/>
    </xf>
    <xf numFmtId="179" fontId="9" fillId="0" borderId="8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7" fillId="0" borderId="2" xfId="0" applyFont="1" applyBorder="1">
      <alignment vertical="center"/>
    </xf>
    <xf numFmtId="179" fontId="9" fillId="0" borderId="7" xfId="0" applyNumberFormat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178" fontId="7" fillId="0" borderId="5" xfId="1" applyNumberFormat="1" applyFont="1" applyFill="1" applyBorder="1">
      <alignment vertical="center"/>
    </xf>
    <xf numFmtId="178" fontId="7" fillId="0" borderId="0" xfId="1" applyNumberFormat="1" applyFont="1" applyFill="1" applyBorder="1">
      <alignment vertical="center"/>
    </xf>
    <xf numFmtId="0" fontId="7" fillId="0" borderId="5" xfId="0" applyFont="1" applyBorder="1">
      <alignment vertical="center"/>
    </xf>
    <xf numFmtId="178" fontId="7" fillId="2" borderId="5" xfId="1" applyNumberFormat="1" applyFont="1" applyFill="1" applyBorder="1">
      <alignment vertical="center"/>
    </xf>
    <xf numFmtId="182" fontId="7" fillId="0" borderId="5" xfId="1" applyNumberFormat="1" applyFont="1" applyFill="1" applyBorder="1">
      <alignment vertical="center"/>
    </xf>
    <xf numFmtId="0" fontId="11" fillId="0" borderId="0" xfId="7" applyFo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6" xfId="0" applyFont="1" applyBorder="1">
      <alignment vertical="center"/>
    </xf>
    <xf numFmtId="182" fontId="7" fillId="0" borderId="5" xfId="5" applyNumberFormat="1" applyFont="1" applyFill="1" applyBorder="1">
      <alignment vertical="center"/>
    </xf>
    <xf numFmtId="178" fontId="7" fillId="0" borderId="9" xfId="1" applyNumberFormat="1" applyFont="1" applyFill="1" applyBorder="1">
      <alignment vertical="center"/>
    </xf>
    <xf numFmtId="38" fontId="7" fillId="0" borderId="0" xfId="1" applyFont="1" applyFill="1" applyBorder="1">
      <alignment vertical="center"/>
    </xf>
    <xf numFmtId="0" fontId="7" fillId="0" borderId="4" xfId="0" applyFont="1" applyBorder="1">
      <alignment vertical="center"/>
    </xf>
    <xf numFmtId="3" fontId="7" fillId="0" borderId="5" xfId="0" applyNumberFormat="1" applyFont="1" applyBorder="1">
      <alignment vertical="center"/>
    </xf>
    <xf numFmtId="3" fontId="7" fillId="0" borderId="5" xfId="0" applyNumberFormat="1" applyFont="1" applyBorder="1" applyAlignment="1">
      <alignment horizontal="right" vertical="center"/>
    </xf>
    <xf numFmtId="182" fontId="7" fillId="0" borderId="4" xfId="5" applyNumberFormat="1" applyFont="1" applyFill="1" applyBorder="1">
      <alignment vertical="center"/>
    </xf>
    <xf numFmtId="182" fontId="7" fillId="0" borderId="5" xfId="0" applyNumberFormat="1" applyFont="1" applyBorder="1">
      <alignment vertical="center"/>
    </xf>
    <xf numFmtId="178" fontId="7" fillId="0" borderId="5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8" fontId="7" fillId="0" borderId="5" xfId="1" applyNumberFormat="1" applyFont="1" applyFill="1" applyBorder="1" applyAlignment="1">
      <alignment horizontal="right" vertical="center"/>
    </xf>
    <xf numFmtId="182" fontId="7" fillId="0" borderId="5" xfId="1" applyNumberFormat="1" applyFont="1" applyFill="1" applyBorder="1" applyAlignment="1">
      <alignment horizontal="right" vertical="center"/>
    </xf>
    <xf numFmtId="3" fontId="12" fillId="0" borderId="0" xfId="0" applyNumberFormat="1" applyFont="1">
      <alignment vertical="center"/>
    </xf>
    <xf numFmtId="183" fontId="7" fillId="0" borderId="5" xfId="1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horizontal="left" vertical="center"/>
    </xf>
    <xf numFmtId="178" fontId="7" fillId="0" borderId="5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80" fontId="7" fillId="0" borderId="5" xfId="1" applyNumberFormat="1" applyFont="1" applyFill="1" applyBorder="1">
      <alignment vertical="center"/>
    </xf>
    <xf numFmtId="180" fontId="7" fillId="0" borderId="0" xfId="1" applyNumberFormat="1" applyFont="1" applyFill="1" applyBorder="1">
      <alignment vertical="center"/>
    </xf>
    <xf numFmtId="184" fontId="7" fillId="0" borderId="4" xfId="1" applyNumberFormat="1" applyFont="1" applyFill="1" applyBorder="1">
      <alignment vertical="center"/>
    </xf>
    <xf numFmtId="0" fontId="8" fillId="0" borderId="0" xfId="0" applyFont="1">
      <alignment vertical="center"/>
    </xf>
    <xf numFmtId="184" fontId="7" fillId="0" borderId="5" xfId="1" applyNumberFormat="1" applyFont="1" applyFill="1" applyBorder="1">
      <alignment vertical="center"/>
    </xf>
    <xf numFmtId="184" fontId="7" fillId="0" borderId="5" xfId="1" applyNumberFormat="1" applyFont="1" applyFill="1" applyBorder="1" applyAlignment="1">
      <alignment horizontal="center" vertical="center"/>
    </xf>
    <xf numFmtId="185" fontId="7" fillId="0" borderId="5" xfId="1" applyNumberFormat="1" applyFont="1" applyFill="1" applyBorder="1" applyAlignment="1">
      <alignment horizontal="right"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177" fontId="7" fillId="0" borderId="5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177" fontId="4" fillId="0" borderId="6" xfId="0" applyNumberFormat="1" applyFont="1" applyBorder="1">
      <alignment vertical="center"/>
    </xf>
    <xf numFmtId="38" fontId="7" fillId="0" borderId="5" xfId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1" applyNumberFormat="1" applyFont="1" applyFill="1" applyBorder="1">
      <alignment vertical="center"/>
    </xf>
    <xf numFmtId="179" fontId="7" fillId="0" borderId="5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81" fontId="7" fillId="0" borderId="5" xfId="6" applyNumberFormat="1" applyFont="1" applyFill="1" applyBorder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40" fontId="7" fillId="0" borderId="5" xfId="1" applyNumberFormat="1" applyFont="1" applyFill="1" applyBorder="1" applyAlignment="1">
      <alignment horizontal="right" vertical="center"/>
    </xf>
    <xf numFmtId="184" fontId="4" fillId="0" borderId="5" xfId="1" applyNumberFormat="1" applyFont="1" applyFill="1" applyBorder="1" applyAlignment="1">
      <alignment horizontal="center" vertical="center"/>
    </xf>
    <xf numFmtId="184" fontId="4" fillId="0" borderId="5" xfId="1" applyNumberFormat="1" applyFont="1" applyFill="1" applyBorder="1">
      <alignment vertical="center"/>
    </xf>
    <xf numFmtId="40" fontId="7" fillId="0" borderId="5" xfId="1" applyNumberFormat="1" applyFont="1" applyFill="1" applyBorder="1">
      <alignment vertical="center"/>
    </xf>
    <xf numFmtId="180" fontId="7" fillId="0" borderId="5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>
      <alignment vertical="center"/>
    </xf>
    <xf numFmtId="40" fontId="4" fillId="0" borderId="5" xfId="1" applyNumberFormat="1" applyFont="1" applyFill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7" fillId="0" borderId="7" xfId="1" applyNumberFormat="1" applyFont="1" applyFill="1" applyBorder="1">
      <alignment vertical="center"/>
    </xf>
    <xf numFmtId="40" fontId="7" fillId="0" borderId="7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8">
    <cellStyle name="パーセント" xfId="6" builtinId="5"/>
    <cellStyle name="ハイパーリンク" xfId="7" builtinId="8"/>
    <cellStyle name="桁区切り" xfId="1" builtinId="6"/>
    <cellStyle name="桁区切り 2" xfId="3" xr:uid="{00000000-0005-0000-0000-000001000000}"/>
    <cellStyle name="通貨" xfId="5" builtinId="7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8"/>
  <sheetViews>
    <sheetView tabSelected="1" zoomScale="75" zoomScaleNormal="75" zoomScaleSheetLayoutView="100" workbookViewId="0">
      <pane xSplit="1" ySplit="8" topLeftCell="E21" activePane="bottomRight" state="frozen"/>
      <selection pane="topRight" activeCell="B1" sqref="B1"/>
      <selection pane="bottomLeft" activeCell="A11" sqref="A11"/>
      <selection pane="bottomRight"/>
    </sheetView>
  </sheetViews>
  <sheetFormatPr defaultColWidth="8.875" defaultRowHeight="13.5" x14ac:dyDescent="0.15"/>
  <cols>
    <col min="1" max="1" width="52.625" style="2" customWidth="1"/>
    <col min="2" max="4" width="15.625" style="2" hidden="1" customWidth="1"/>
    <col min="5" max="5" width="15.625" style="2" customWidth="1"/>
    <col min="6" max="6" width="16.5" style="2" customWidth="1"/>
    <col min="7" max="14" width="15.625" style="2" customWidth="1"/>
    <col min="15" max="15" width="2.625" style="2" customWidth="1"/>
    <col min="16" max="16" width="16" style="2" customWidth="1"/>
    <col min="17" max="17" width="8.875" style="2"/>
    <col min="18" max="18" width="25.125" style="3" bestFit="1" customWidth="1"/>
    <col min="19" max="19" width="8.875" style="4"/>
    <col min="20" max="16384" width="8.875" style="2"/>
  </cols>
  <sheetData>
    <row r="1" spans="1:18" ht="21" x14ac:dyDescent="0.15">
      <c r="A1" s="1" t="s">
        <v>0</v>
      </c>
    </row>
    <row r="2" spans="1:18" x14ac:dyDescent="0.15">
      <c r="A2" s="3" t="s">
        <v>1</v>
      </c>
    </row>
    <row r="3" spans="1:18" x14ac:dyDescent="0.15">
      <c r="A3" s="3" t="s">
        <v>2</v>
      </c>
      <c r="E3" s="5"/>
      <c r="L3" s="6"/>
      <c r="P3" s="7"/>
    </row>
    <row r="4" spans="1:18" x14ac:dyDescent="0.15">
      <c r="A4" s="3" t="s">
        <v>3</v>
      </c>
      <c r="J4" s="4"/>
      <c r="K4" s="4"/>
      <c r="L4" s="4"/>
      <c r="M4" s="4"/>
      <c r="P4" s="8"/>
    </row>
    <row r="6" spans="1:18" x14ac:dyDescent="0.15">
      <c r="A6" s="9"/>
      <c r="C6" s="9" t="s">
        <v>4</v>
      </c>
      <c r="D6" s="9"/>
      <c r="E6" s="9"/>
      <c r="N6" s="10" t="s">
        <v>5</v>
      </c>
      <c r="P6" s="10" t="s">
        <v>6</v>
      </c>
    </row>
    <row r="7" spans="1:18" x14ac:dyDescent="0.15">
      <c r="A7" s="11"/>
      <c r="B7" s="12">
        <v>2009.3</v>
      </c>
      <c r="C7" s="12">
        <v>2010.3</v>
      </c>
      <c r="D7" s="12">
        <v>2011.3</v>
      </c>
      <c r="E7" s="12">
        <v>2015.3</v>
      </c>
      <c r="F7" s="12">
        <v>2016.3</v>
      </c>
      <c r="G7" s="12">
        <v>2017.3</v>
      </c>
      <c r="H7" s="12">
        <v>2018.3</v>
      </c>
      <c r="I7" s="12">
        <v>2019.3</v>
      </c>
      <c r="J7" s="12">
        <v>2020.3</v>
      </c>
      <c r="K7" s="12">
        <v>2021.3</v>
      </c>
      <c r="L7" s="12">
        <v>2022.3</v>
      </c>
      <c r="M7" s="12">
        <v>2023.3</v>
      </c>
      <c r="N7" s="12">
        <v>2024.3</v>
      </c>
      <c r="O7" s="13"/>
      <c r="P7" s="12">
        <v>2024.3</v>
      </c>
    </row>
    <row r="8" spans="1:18" x14ac:dyDescent="0.15">
      <c r="A8" s="14"/>
      <c r="B8" s="15" t="s">
        <v>7</v>
      </c>
      <c r="C8" s="15" t="s">
        <v>7</v>
      </c>
      <c r="D8" s="15" t="s">
        <v>7</v>
      </c>
      <c r="E8" s="15" t="s">
        <v>8</v>
      </c>
      <c r="F8" s="15" t="s">
        <v>8</v>
      </c>
      <c r="G8" s="15" t="s">
        <v>8</v>
      </c>
      <c r="H8" s="15" t="s">
        <v>8</v>
      </c>
      <c r="I8" s="15" t="s">
        <v>8</v>
      </c>
      <c r="J8" s="15" t="s">
        <v>8</v>
      </c>
      <c r="K8" s="15" t="s">
        <v>8</v>
      </c>
      <c r="L8" s="15" t="s">
        <v>8</v>
      </c>
      <c r="M8" s="15" t="s">
        <v>8</v>
      </c>
      <c r="N8" s="15" t="s">
        <v>8</v>
      </c>
      <c r="O8" s="13"/>
      <c r="P8" s="15" t="s">
        <v>8</v>
      </c>
    </row>
    <row r="9" spans="1:18" x14ac:dyDescent="0.15">
      <c r="A9" s="16" t="s">
        <v>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7"/>
    </row>
    <row r="10" spans="1:18" ht="17.25" customHeight="1" x14ac:dyDescent="0.15">
      <c r="A10" s="19" t="s">
        <v>33</v>
      </c>
      <c r="B10" s="17">
        <v>6156365</v>
      </c>
      <c r="C10" s="17">
        <v>4540793</v>
      </c>
      <c r="D10" s="17">
        <v>5206873</v>
      </c>
      <c r="E10" s="17">
        <v>7669489</v>
      </c>
      <c r="F10" s="17">
        <v>6925582</v>
      </c>
      <c r="G10" s="17">
        <v>6425761</v>
      </c>
      <c r="H10" s="17">
        <v>7567394</v>
      </c>
      <c r="I10" s="17">
        <v>16103763</v>
      </c>
      <c r="J10" s="17">
        <v>14779734</v>
      </c>
      <c r="K10" s="17">
        <v>12884521</v>
      </c>
      <c r="L10" s="17">
        <v>17264828</v>
      </c>
      <c r="M10" s="17">
        <v>21571973</v>
      </c>
      <c r="N10" s="20">
        <v>19567601</v>
      </c>
      <c r="O10" s="18"/>
      <c r="P10" s="21">
        <v>129587</v>
      </c>
      <c r="R10" s="22"/>
    </row>
    <row r="11" spans="1:18" ht="17.25" customHeight="1" x14ac:dyDescent="0.15">
      <c r="A11" s="19" t="s">
        <v>10</v>
      </c>
      <c r="B11" s="17">
        <v>1465027</v>
      </c>
      <c r="C11" s="17">
        <v>1016597</v>
      </c>
      <c r="D11" s="17">
        <v>1149902</v>
      </c>
      <c r="E11" s="17">
        <v>1209894</v>
      </c>
      <c r="F11" s="17">
        <v>1098877</v>
      </c>
      <c r="G11" s="17">
        <v>1328638</v>
      </c>
      <c r="H11" s="17">
        <v>1886640</v>
      </c>
      <c r="I11" s="17">
        <v>1987811</v>
      </c>
      <c r="J11" s="17">
        <v>1789131</v>
      </c>
      <c r="K11" s="17">
        <v>1605106</v>
      </c>
      <c r="L11" s="17">
        <v>2150764</v>
      </c>
      <c r="M11" s="17">
        <v>2559962</v>
      </c>
      <c r="N11" s="20">
        <v>2359709</v>
      </c>
      <c r="O11" s="18"/>
      <c r="P11" s="21">
        <v>15627</v>
      </c>
      <c r="R11" s="23"/>
    </row>
    <row r="12" spans="1:18" ht="17.25" customHeight="1" x14ac:dyDescent="0.15">
      <c r="A12" s="19" t="s">
        <v>11</v>
      </c>
      <c r="B12" s="17">
        <v>163256</v>
      </c>
      <c r="C12" s="17">
        <v>117857</v>
      </c>
      <c r="D12" s="17">
        <v>167002</v>
      </c>
      <c r="E12" s="17">
        <v>203818</v>
      </c>
      <c r="F12" s="17">
        <v>-175389</v>
      </c>
      <c r="G12" s="17">
        <v>117450</v>
      </c>
      <c r="H12" s="17">
        <v>211432</v>
      </c>
      <c r="I12" s="17">
        <v>137269</v>
      </c>
      <c r="J12" s="17">
        <v>179325</v>
      </c>
      <c r="K12" s="17">
        <v>97086</v>
      </c>
      <c r="L12" s="17">
        <v>393803</v>
      </c>
      <c r="M12" s="17">
        <v>500180</v>
      </c>
      <c r="N12" s="20">
        <v>444385</v>
      </c>
      <c r="O12" s="18"/>
      <c r="P12" s="21">
        <v>2943</v>
      </c>
      <c r="R12" s="23"/>
    </row>
    <row r="13" spans="1:18" ht="17.25" customHeight="1" x14ac:dyDescent="0.15">
      <c r="A13" s="19" t="s">
        <v>12</v>
      </c>
      <c r="B13" s="17">
        <v>370987</v>
      </c>
      <c r="C13" s="17">
        <v>275787</v>
      </c>
      <c r="D13" s="17">
        <v>464543</v>
      </c>
      <c r="E13" s="17">
        <v>400574</v>
      </c>
      <c r="F13" s="17">
        <v>-149395</v>
      </c>
      <c r="G13" s="17">
        <v>440293</v>
      </c>
      <c r="H13" s="17">
        <v>560173</v>
      </c>
      <c r="I13" s="17">
        <v>590737</v>
      </c>
      <c r="J13" s="17">
        <v>535353</v>
      </c>
      <c r="K13" s="17">
        <v>172550</v>
      </c>
      <c r="L13" s="17">
        <v>937529</v>
      </c>
      <c r="M13" s="17">
        <v>1180694</v>
      </c>
      <c r="N13" s="20">
        <v>964034</v>
      </c>
      <c r="O13" s="18"/>
      <c r="P13" s="21">
        <v>6384</v>
      </c>
      <c r="R13" s="23"/>
    </row>
    <row r="14" spans="1:18" x14ac:dyDescent="0.15">
      <c r="A14" s="1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21"/>
    </row>
    <row r="15" spans="1:18" x14ac:dyDescent="0.15">
      <c r="A15" s="16" t="s">
        <v>13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21"/>
    </row>
    <row r="16" spans="1:18" ht="17.25" customHeight="1" x14ac:dyDescent="0.15">
      <c r="A16" s="24" t="s">
        <v>14</v>
      </c>
      <c r="B16" s="17">
        <v>10837537</v>
      </c>
      <c r="C16" s="17">
        <v>10803702</v>
      </c>
      <c r="D16" s="17">
        <v>11272775</v>
      </c>
      <c r="E16" s="17">
        <v>16774366</v>
      </c>
      <c r="F16" s="17">
        <v>14916256</v>
      </c>
      <c r="G16" s="17">
        <v>15753557</v>
      </c>
      <c r="H16" s="17">
        <v>16036989</v>
      </c>
      <c r="I16" s="17">
        <v>16532800</v>
      </c>
      <c r="J16" s="17">
        <v>18033424</v>
      </c>
      <c r="K16" s="17">
        <v>18634971</v>
      </c>
      <c r="L16" s="17">
        <v>21912012</v>
      </c>
      <c r="M16" s="17">
        <v>22147501</v>
      </c>
      <c r="N16" s="20">
        <v>23459572</v>
      </c>
      <c r="O16" s="18"/>
      <c r="P16" s="25">
        <v>155361</v>
      </c>
      <c r="R16" s="23"/>
    </row>
    <row r="17" spans="1:52" ht="17.25" customHeight="1" x14ac:dyDescent="0.15">
      <c r="A17" s="2" t="s">
        <v>15</v>
      </c>
      <c r="B17" s="26">
        <v>3467766</v>
      </c>
      <c r="C17" s="17">
        <v>3246029</v>
      </c>
      <c r="D17" s="17">
        <v>3188749</v>
      </c>
      <c r="E17" s="17">
        <v>4835117</v>
      </c>
      <c r="F17" s="17">
        <v>4560258</v>
      </c>
      <c r="G17" s="17">
        <v>4135680</v>
      </c>
      <c r="H17" s="17">
        <v>3684860</v>
      </c>
      <c r="I17" s="17">
        <v>3569221</v>
      </c>
      <c r="J17" s="17">
        <v>4287354</v>
      </c>
      <c r="K17" s="17">
        <v>4381793</v>
      </c>
      <c r="L17" s="17">
        <v>4039749</v>
      </c>
      <c r="M17" s="17">
        <v>3493991</v>
      </c>
      <c r="N17" s="17">
        <v>3394268</v>
      </c>
      <c r="O17" s="18"/>
      <c r="P17" s="25">
        <v>22479</v>
      </c>
      <c r="R17" s="23"/>
      <c r="S17" s="27"/>
    </row>
    <row r="18" spans="1:52" ht="17.25" customHeight="1" x14ac:dyDescent="0.15">
      <c r="A18" s="28" t="s">
        <v>16</v>
      </c>
      <c r="B18" s="17">
        <v>2359397</v>
      </c>
      <c r="C18" s="17">
        <v>2926094</v>
      </c>
      <c r="D18" s="17">
        <v>3233342</v>
      </c>
      <c r="E18" s="17">
        <v>5570477</v>
      </c>
      <c r="F18" s="17">
        <v>4592516</v>
      </c>
      <c r="G18" s="17">
        <v>4917247</v>
      </c>
      <c r="H18" s="17">
        <v>5332427</v>
      </c>
      <c r="I18" s="17">
        <v>5696246</v>
      </c>
      <c r="J18" s="17">
        <v>5227359</v>
      </c>
      <c r="K18" s="17">
        <v>5613647</v>
      </c>
      <c r="L18" s="17">
        <v>6880232</v>
      </c>
      <c r="M18" s="17">
        <v>8065640</v>
      </c>
      <c r="N18" s="20">
        <v>9043867</v>
      </c>
      <c r="O18" s="18"/>
      <c r="P18" s="25">
        <v>59893</v>
      </c>
      <c r="R18" s="23"/>
      <c r="S18" s="27"/>
    </row>
    <row r="19" spans="1:52" ht="17.25" customHeight="1" x14ac:dyDescent="0.15">
      <c r="A19" s="19" t="s">
        <v>34</v>
      </c>
      <c r="B19" s="17">
        <v>4879397</v>
      </c>
      <c r="C19" s="17">
        <v>4154692</v>
      </c>
      <c r="D19" s="17">
        <v>4257563</v>
      </c>
      <c r="E19" s="17">
        <v>6348993</v>
      </c>
      <c r="F19" s="17">
        <v>6042606</v>
      </c>
      <c r="G19" s="17">
        <v>5383911</v>
      </c>
      <c r="H19" s="17">
        <v>4954395</v>
      </c>
      <c r="I19" s="17">
        <v>5092099</v>
      </c>
      <c r="J19" s="17">
        <v>5760123</v>
      </c>
      <c r="K19" s="29">
        <v>5644315</v>
      </c>
      <c r="L19" s="29">
        <v>5643169</v>
      </c>
      <c r="M19" s="29">
        <v>4889881</v>
      </c>
      <c r="N19" s="30">
        <f>1733684+3394268</f>
        <v>5127952</v>
      </c>
      <c r="O19" s="18"/>
      <c r="P19" s="31">
        <f>11481+22479</f>
        <v>33960</v>
      </c>
      <c r="R19" s="23"/>
      <c r="S19" s="27"/>
    </row>
    <row r="20" spans="1:52" ht="17.25" customHeight="1" x14ac:dyDescent="0.15">
      <c r="A20" s="19" t="s">
        <v>35</v>
      </c>
      <c r="B20" s="17">
        <v>3567633</v>
      </c>
      <c r="C20" s="17">
        <v>2968151</v>
      </c>
      <c r="D20" s="17">
        <v>2947308</v>
      </c>
      <c r="E20" s="17">
        <v>4467714</v>
      </c>
      <c r="F20" s="17">
        <v>4315460</v>
      </c>
      <c r="G20" s="17">
        <v>3991475</v>
      </c>
      <c r="H20" s="17">
        <v>3714176</v>
      </c>
      <c r="I20" s="17">
        <v>3723568</v>
      </c>
      <c r="J20" s="17">
        <v>4336295</v>
      </c>
      <c r="K20" s="17">
        <v>4178410</v>
      </c>
      <c r="L20" s="17">
        <v>3939721</v>
      </c>
      <c r="M20" s="17">
        <v>3237591</v>
      </c>
      <c r="N20" s="30">
        <f>N19-1251550-94113</f>
        <v>3782289</v>
      </c>
      <c r="O20" s="18"/>
      <c r="P20" s="25">
        <f>P19-8288-623</f>
        <v>25049</v>
      </c>
      <c r="R20" s="23"/>
      <c r="S20" s="27"/>
    </row>
    <row r="21" spans="1:52" x14ac:dyDescent="0.15">
      <c r="A21" s="1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32"/>
      <c r="S21" s="27"/>
    </row>
    <row r="22" spans="1:52" x14ac:dyDescent="0.15">
      <c r="A22" s="16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2"/>
      <c r="S22" s="27"/>
    </row>
    <row r="23" spans="1:52" ht="17.25" customHeight="1" x14ac:dyDescent="0.15">
      <c r="A23" s="19" t="s">
        <v>18</v>
      </c>
      <c r="B23" s="17">
        <v>558226</v>
      </c>
      <c r="C23" s="35">
        <v>761573</v>
      </c>
      <c r="D23" s="17">
        <v>331204</v>
      </c>
      <c r="E23" s="17">
        <v>798264</v>
      </c>
      <c r="F23" s="17">
        <v>700105</v>
      </c>
      <c r="G23" s="17">
        <v>583004</v>
      </c>
      <c r="H23" s="17">
        <v>742482</v>
      </c>
      <c r="I23" s="17">
        <v>652681</v>
      </c>
      <c r="J23" s="17">
        <v>849728</v>
      </c>
      <c r="K23" s="17">
        <v>1017550</v>
      </c>
      <c r="L23" s="17">
        <v>1055844</v>
      </c>
      <c r="M23" s="17">
        <v>1930138</v>
      </c>
      <c r="N23" s="17">
        <v>1347380</v>
      </c>
      <c r="O23" s="18"/>
      <c r="P23" s="36">
        <v>8923</v>
      </c>
      <c r="R23" s="37"/>
      <c r="S23" s="27"/>
    </row>
    <row r="24" spans="1:52" ht="17.25" customHeight="1" x14ac:dyDescent="0.15">
      <c r="A24" s="19" t="s">
        <v>19</v>
      </c>
      <c r="B24" s="35">
        <v>-693550</v>
      </c>
      <c r="C24" s="35">
        <v>-138502</v>
      </c>
      <c r="D24" s="17">
        <v>-262601</v>
      </c>
      <c r="E24" s="17">
        <v>-154852</v>
      </c>
      <c r="F24" s="17">
        <v>-503854</v>
      </c>
      <c r="G24" s="17">
        <v>-179585</v>
      </c>
      <c r="H24" s="17">
        <v>-317583</v>
      </c>
      <c r="I24" s="17">
        <v>-273687</v>
      </c>
      <c r="J24" s="17">
        <v>-500727</v>
      </c>
      <c r="K24" s="17">
        <v>-357297</v>
      </c>
      <c r="L24" s="17">
        <v>-167550</v>
      </c>
      <c r="M24" s="35" t="s">
        <v>20</v>
      </c>
      <c r="N24" s="35">
        <v>-205761</v>
      </c>
      <c r="O24" s="18"/>
      <c r="P24" s="38">
        <v>-1363</v>
      </c>
      <c r="R24" s="37"/>
      <c r="S24" s="27"/>
    </row>
    <row r="25" spans="1:52" ht="17.25" customHeight="1" x14ac:dyDescent="0.15">
      <c r="A25" s="19" t="s">
        <v>21</v>
      </c>
      <c r="B25" s="35">
        <v>-135324</v>
      </c>
      <c r="C25" s="35">
        <v>623071</v>
      </c>
      <c r="D25" s="17">
        <v>68603</v>
      </c>
      <c r="E25" s="17">
        <v>643412</v>
      </c>
      <c r="F25" s="17">
        <v>196251</v>
      </c>
      <c r="G25" s="17">
        <v>403419</v>
      </c>
      <c r="H25" s="17">
        <v>424899</v>
      </c>
      <c r="I25" s="17">
        <v>378994</v>
      </c>
      <c r="J25" s="17">
        <v>349001</v>
      </c>
      <c r="K25" s="17">
        <v>660253</v>
      </c>
      <c r="L25" s="17">
        <v>888294</v>
      </c>
      <c r="M25" s="35">
        <v>1752672</v>
      </c>
      <c r="N25" s="35">
        <f>N23+N24</f>
        <v>1141619</v>
      </c>
      <c r="O25" s="18"/>
      <c r="P25" s="36">
        <f>P23+P24</f>
        <v>7560</v>
      </c>
      <c r="R25" s="39"/>
    </row>
    <row r="26" spans="1:52" ht="17.25" customHeight="1" x14ac:dyDescent="0.15">
      <c r="A26" s="19" t="s">
        <v>22</v>
      </c>
      <c r="B26" s="17">
        <v>650608</v>
      </c>
      <c r="C26" s="35">
        <v>-755347</v>
      </c>
      <c r="D26" s="17">
        <v>76749</v>
      </c>
      <c r="E26" s="17">
        <v>-305334</v>
      </c>
      <c r="F26" s="17">
        <v>-364528</v>
      </c>
      <c r="G26" s="17">
        <v>-752162</v>
      </c>
      <c r="H26" s="17">
        <v>-554328</v>
      </c>
      <c r="I26" s="17">
        <v>-227480</v>
      </c>
      <c r="J26" s="17">
        <v>-156629</v>
      </c>
      <c r="K26" s="17">
        <v>-691184</v>
      </c>
      <c r="L26" s="17">
        <v>-693396</v>
      </c>
      <c r="M26" s="35" t="s">
        <v>23</v>
      </c>
      <c r="N26" s="35">
        <v>-1086233</v>
      </c>
      <c r="O26" s="18"/>
      <c r="P26" s="38">
        <v>-7194</v>
      </c>
      <c r="R26" s="39"/>
    </row>
    <row r="27" spans="1:52" ht="17.25" customHeight="1" x14ac:dyDescent="0.15">
      <c r="A27" s="19" t="s">
        <v>24</v>
      </c>
      <c r="B27" s="17">
        <v>515284</v>
      </c>
      <c r="C27" s="35">
        <v>-132276</v>
      </c>
      <c r="D27" s="17">
        <v>145352</v>
      </c>
      <c r="E27" s="17">
        <v>338078</v>
      </c>
      <c r="F27" s="17">
        <v>-168277</v>
      </c>
      <c r="G27" s="17">
        <v>-348743</v>
      </c>
      <c r="H27" s="17">
        <v>-129429</v>
      </c>
      <c r="I27" s="17">
        <v>151514</v>
      </c>
      <c r="J27" s="17">
        <v>192372</v>
      </c>
      <c r="K27" s="17">
        <v>-30931</v>
      </c>
      <c r="L27" s="17">
        <v>194898</v>
      </c>
      <c r="M27" s="35" t="s">
        <v>25</v>
      </c>
      <c r="N27" s="35">
        <f>N25+N26</f>
        <v>55386</v>
      </c>
      <c r="O27" s="18"/>
      <c r="P27" s="36">
        <f>P25+P26</f>
        <v>366</v>
      </c>
    </row>
    <row r="28" spans="1:52" x14ac:dyDescent="0.15">
      <c r="A28" s="1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35"/>
      <c r="N28" s="35"/>
      <c r="O28" s="18"/>
      <c r="P28" s="40"/>
    </row>
    <row r="29" spans="1:52" x14ac:dyDescent="0.15">
      <c r="A29" s="16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41"/>
    </row>
    <row r="30" spans="1:52" s="4" customFormat="1" x14ac:dyDescent="0.15">
      <c r="A30" s="19" t="s">
        <v>27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2"/>
      <c r="Q30" s="2"/>
      <c r="R30" s="3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s="4" customFormat="1" ht="17.25" customHeight="1" x14ac:dyDescent="0.15">
      <c r="A31" s="19" t="s">
        <v>36</v>
      </c>
      <c r="B31" s="44">
        <v>225.88</v>
      </c>
      <c r="C31" s="44">
        <v>167.85</v>
      </c>
      <c r="D31" s="44">
        <v>282.62</v>
      </c>
      <c r="E31" s="44">
        <f>246.39/3</f>
        <v>82.13</v>
      </c>
      <c r="F31" s="44">
        <f>-93.68/3</f>
        <v>-31.22666666666667</v>
      </c>
      <c r="G31" s="44">
        <f>277.79/3</f>
        <v>92.596666666666678</v>
      </c>
      <c r="H31" s="44">
        <f>353.27/3</f>
        <v>117.75666666666666</v>
      </c>
      <c r="I31" s="44">
        <f>372.39/3</f>
        <v>124.13</v>
      </c>
      <c r="J31" s="44">
        <v>116.17</v>
      </c>
      <c r="K31" s="44">
        <v>38.950000000000003</v>
      </c>
      <c r="L31" s="44">
        <v>211.69</v>
      </c>
      <c r="M31" s="44">
        <v>269.76</v>
      </c>
      <c r="N31" s="44">
        <v>230.1</v>
      </c>
      <c r="O31" s="45"/>
      <c r="P31" s="46">
        <v>1.52</v>
      </c>
      <c r="Q31" s="2"/>
      <c r="R31" s="4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s="4" customFormat="1" ht="17.25" customHeight="1" x14ac:dyDescent="0.15">
      <c r="A32" s="19" t="s">
        <v>50</v>
      </c>
      <c r="B32" s="44">
        <v>225.38</v>
      </c>
      <c r="C32" s="44">
        <v>167.46</v>
      </c>
      <c r="D32" s="44">
        <v>281.87</v>
      </c>
      <c r="E32" s="44">
        <f>245.83/3</f>
        <v>81.943333333333342</v>
      </c>
      <c r="F32" s="44">
        <f>-93.68/3</f>
        <v>-31.22666666666667</v>
      </c>
      <c r="G32" s="44">
        <f>277.16/3</f>
        <v>92.38666666666667</v>
      </c>
      <c r="H32" s="44">
        <f>352.44/3</f>
        <v>117.48</v>
      </c>
      <c r="I32" s="44">
        <f>371.55/3</f>
        <v>123.85000000000001</v>
      </c>
      <c r="J32" s="44">
        <v>115.9</v>
      </c>
      <c r="K32" s="44">
        <v>38.86</v>
      </c>
      <c r="L32" s="44">
        <v>208.58</v>
      </c>
      <c r="M32" s="44">
        <v>268.56</v>
      </c>
      <c r="N32" s="44">
        <v>222.37</v>
      </c>
      <c r="O32" s="45"/>
      <c r="P32" s="48">
        <v>1.47</v>
      </c>
      <c r="Q32" s="2"/>
      <c r="R32" s="4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" customFormat="1" ht="17.25" customHeight="1" x14ac:dyDescent="0.15">
      <c r="A33" s="19" t="s">
        <v>51</v>
      </c>
      <c r="B33" s="44">
        <v>52</v>
      </c>
      <c r="C33" s="44">
        <v>38</v>
      </c>
      <c r="D33" s="44">
        <v>65</v>
      </c>
      <c r="E33" s="44">
        <f>70/3</f>
        <v>23.333333333333332</v>
      </c>
      <c r="F33" s="44">
        <f>50/3</f>
        <v>16.666666666666668</v>
      </c>
      <c r="G33" s="44">
        <f>80/3</f>
        <v>26.666666666666668</v>
      </c>
      <c r="H33" s="44">
        <f>110/3</f>
        <v>36.666666666666664</v>
      </c>
      <c r="I33" s="44">
        <f>125/3</f>
        <v>41.666666666666664</v>
      </c>
      <c r="J33" s="44">
        <f>132/3</f>
        <v>44</v>
      </c>
      <c r="K33" s="44">
        <f>134/3</f>
        <v>44.666666666666664</v>
      </c>
      <c r="L33" s="44">
        <f>150/3</f>
        <v>50</v>
      </c>
      <c r="M33" s="44">
        <v>60</v>
      </c>
      <c r="N33" s="44">
        <v>70</v>
      </c>
      <c r="O33" s="45"/>
      <c r="P33" s="48">
        <v>0.46</v>
      </c>
      <c r="Q33" s="2"/>
      <c r="R33" s="4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s="4" customFormat="1" ht="17.25" customHeight="1" x14ac:dyDescent="0.15">
      <c r="A34" s="19" t="s">
        <v>52</v>
      </c>
      <c r="B34" s="44">
        <v>1436.11</v>
      </c>
      <c r="C34" s="44">
        <v>1780.37</v>
      </c>
      <c r="D34" s="44">
        <v>1966.66</v>
      </c>
      <c r="E34" s="44">
        <f>3437.75/3</f>
        <v>1145.9166666666667</v>
      </c>
      <c r="F34" s="44">
        <f>2898.23/3</f>
        <v>966.07666666666671</v>
      </c>
      <c r="G34" s="44">
        <f>3101.43/3</f>
        <v>1033.81</v>
      </c>
      <c r="H34" s="44">
        <f>3362.34/3</f>
        <v>1120.78</v>
      </c>
      <c r="I34" s="44">
        <f>3589.37/3</f>
        <v>1196.4566666666667</v>
      </c>
      <c r="J34" s="44">
        <f>3521.3/3</f>
        <v>1173.7666666666667</v>
      </c>
      <c r="K34" s="44">
        <f>3803.01/3</f>
        <v>1267.67</v>
      </c>
      <c r="L34" s="44">
        <f>4659.68/3</f>
        <v>1553.2266666666667</v>
      </c>
      <c r="M34" s="44">
        <v>1881.69</v>
      </c>
      <c r="N34" s="44">
        <v>2206.9699999999998</v>
      </c>
      <c r="O34" s="45"/>
      <c r="P34" s="49" t="s">
        <v>29</v>
      </c>
      <c r="Q34" s="2"/>
      <c r="R34" s="23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s="4" customFormat="1" ht="17.25" customHeight="1" x14ac:dyDescent="0.15">
      <c r="A35" s="19" t="s">
        <v>37</v>
      </c>
      <c r="B35" s="17">
        <v>23</v>
      </c>
      <c r="C35" s="17">
        <v>23</v>
      </c>
      <c r="D35" s="17">
        <v>23</v>
      </c>
      <c r="E35" s="50">
        <v>28.4</v>
      </c>
      <c r="F35" s="33" t="s">
        <v>28</v>
      </c>
      <c r="G35" s="50">
        <v>28.8</v>
      </c>
      <c r="H35" s="50">
        <v>31.1</v>
      </c>
      <c r="I35" s="50">
        <v>33.6</v>
      </c>
      <c r="J35" s="50">
        <v>37.9</v>
      </c>
      <c r="K35" s="50">
        <v>114.7</v>
      </c>
      <c r="L35" s="50">
        <v>23.6</v>
      </c>
      <c r="M35" s="50">
        <v>22.2</v>
      </c>
      <c r="N35" s="50">
        <v>30.4</v>
      </c>
      <c r="O35" s="34"/>
      <c r="P35" s="51" t="s">
        <v>29</v>
      </c>
      <c r="Q35" s="2"/>
      <c r="R35" s="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s="4" customFormat="1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55"/>
      <c r="Q36" s="2"/>
      <c r="R36" s="3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s="4" customFormat="1" x14ac:dyDescent="0.15">
      <c r="A37" s="16" t="s">
        <v>30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2"/>
      <c r="Q37" s="2"/>
      <c r="R37" s="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s="4" customFormat="1" ht="17.25" customHeight="1" x14ac:dyDescent="0.15">
      <c r="A38" s="19" t="s">
        <v>53</v>
      </c>
      <c r="B38" s="56">
        <v>1642904</v>
      </c>
      <c r="C38" s="56">
        <v>1643532</v>
      </c>
      <c r="D38" s="56">
        <v>1644074</v>
      </c>
      <c r="E38" s="56">
        <f>1620384*3</f>
        <v>4861152</v>
      </c>
      <c r="F38" s="56">
        <f>1584595*3</f>
        <v>4753785</v>
      </c>
      <c r="G38" s="56">
        <f>1585480*3</f>
        <v>4756440</v>
      </c>
      <c r="H38" s="56">
        <f>1585929.249*3</f>
        <v>4757787.7470000004</v>
      </c>
      <c r="I38" s="56">
        <f>1586977.251*3</f>
        <v>4760931.7529999996</v>
      </c>
      <c r="J38" s="56">
        <f>1484497*3</f>
        <v>4453491</v>
      </c>
      <c r="K38" s="56">
        <f>1476105*3</f>
        <v>4428315</v>
      </c>
      <c r="L38" s="56">
        <f>1476545*3</f>
        <v>4429635</v>
      </c>
      <c r="M38" s="56">
        <f>4374907-88529</f>
        <v>4286378</v>
      </c>
      <c r="N38" s="56">
        <f>4179018-81159</f>
        <v>4097859</v>
      </c>
      <c r="O38" s="27"/>
      <c r="P38" s="57" t="s">
        <v>29</v>
      </c>
      <c r="Q38" s="2"/>
      <c r="R38" s="2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4" customFormat="1" x14ac:dyDescent="0.15">
      <c r="A39" s="19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27"/>
      <c r="P39" s="58"/>
      <c r="Q39" s="2"/>
      <c r="R39" s="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s="4" customFormat="1" ht="17.25" customHeight="1" x14ac:dyDescent="0.15">
      <c r="A40" s="16" t="s">
        <v>31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 t="s">
        <v>38</v>
      </c>
      <c r="O40" s="27"/>
      <c r="P40" s="58"/>
      <c r="Q40" s="2"/>
      <c r="R40" s="3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s="4" customFormat="1" ht="17.25" customHeight="1" x14ac:dyDescent="0.15">
      <c r="A41" s="19" t="s">
        <v>39</v>
      </c>
      <c r="B41" s="59">
        <v>14.3</v>
      </c>
      <c r="C41" s="60">
        <v>10.435624618412936</v>
      </c>
      <c r="D41" s="60">
        <v>15.08394599765303</v>
      </c>
      <c r="E41" s="60">
        <v>7.5309008348543536</v>
      </c>
      <c r="F41" s="60">
        <v>-2.9399803778276734</v>
      </c>
      <c r="G41" s="59">
        <v>9.259810155100606</v>
      </c>
      <c r="H41" s="59">
        <v>10.9</v>
      </c>
      <c r="I41" s="59">
        <v>10.7</v>
      </c>
      <c r="J41" s="59">
        <v>9.8000000000000007</v>
      </c>
      <c r="K41" s="59">
        <v>3.2</v>
      </c>
      <c r="L41" s="59">
        <v>15</v>
      </c>
      <c r="M41" s="59">
        <v>15.8</v>
      </c>
      <c r="N41" s="59">
        <v>11.3</v>
      </c>
      <c r="O41" s="61"/>
      <c r="P41" s="62" t="s">
        <v>29</v>
      </c>
      <c r="Q41" s="2"/>
      <c r="R41" s="63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s="4" customFormat="1" ht="17.25" customHeight="1" x14ac:dyDescent="0.15">
      <c r="A42" s="19" t="s">
        <v>40</v>
      </c>
      <c r="B42" s="59">
        <v>3.3</v>
      </c>
      <c r="C42" s="60">
        <v>2.5487172892457775</v>
      </c>
      <c r="D42" s="60">
        <v>4.2084885192506034</v>
      </c>
      <c r="E42" s="60">
        <v>3.5</v>
      </c>
      <c r="F42" s="60">
        <v>-0.6</v>
      </c>
      <c r="G42" s="59">
        <v>3.9</v>
      </c>
      <c r="H42" s="59">
        <v>5.0999999999999996</v>
      </c>
      <c r="I42" s="59">
        <v>5.2</v>
      </c>
      <c r="J42" s="59">
        <v>3.8</v>
      </c>
      <c r="K42" s="59">
        <v>1.4</v>
      </c>
      <c r="L42" s="59">
        <v>6.4</v>
      </c>
      <c r="M42" s="64">
        <v>7.5999999999999998E-2</v>
      </c>
      <c r="N42" s="64">
        <v>0.06</v>
      </c>
      <c r="O42" s="61"/>
      <c r="P42" s="62" t="s">
        <v>29</v>
      </c>
      <c r="Q42" s="2"/>
      <c r="R42" s="47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s="4" customFormat="1" ht="17.25" customHeight="1" x14ac:dyDescent="0.15">
      <c r="A43" s="19" t="s">
        <v>41</v>
      </c>
      <c r="B43" s="59">
        <v>3.3</v>
      </c>
      <c r="C43" s="59">
        <v>2.3628314181962895</v>
      </c>
      <c r="D43" s="59">
        <v>3.4694144429054483</v>
      </c>
      <c r="E43" s="59">
        <v>2.1499497833157752</v>
      </c>
      <c r="F43" s="59">
        <v>1.5782878102519264</v>
      </c>
      <c r="G43" s="59">
        <v>2.6668177863412259</v>
      </c>
      <c r="H43" s="59">
        <v>3.4</v>
      </c>
      <c r="I43" s="59">
        <v>3.5962374725067643</v>
      </c>
      <c r="J43" s="59">
        <v>3.7127303053017506</v>
      </c>
      <c r="K43" s="59">
        <v>3.6590477464771425</v>
      </c>
      <c r="L43" s="59">
        <v>3.5</v>
      </c>
      <c r="M43" s="59">
        <v>3.5</v>
      </c>
      <c r="N43" s="59">
        <v>3.4</v>
      </c>
      <c r="O43" s="61"/>
      <c r="P43" s="62" t="s">
        <v>29</v>
      </c>
      <c r="Q43" s="2"/>
      <c r="R43" s="47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4" customFormat="1" x14ac:dyDescent="0.15">
      <c r="A44" s="19"/>
      <c r="B44" s="56"/>
      <c r="C44" s="56"/>
      <c r="D44" s="56"/>
      <c r="E44" s="56"/>
      <c r="F44" s="56"/>
      <c r="G44" s="56"/>
      <c r="H44" s="56"/>
      <c r="I44" s="56"/>
      <c r="J44" s="59"/>
      <c r="K44" s="59"/>
      <c r="L44" s="59"/>
      <c r="M44" s="59"/>
      <c r="N44" s="59"/>
      <c r="O44" s="27"/>
      <c r="P44" s="58"/>
      <c r="Q44" s="2"/>
      <c r="R44" s="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s="4" customFormat="1" ht="17.25" customHeight="1" x14ac:dyDescent="0.15">
      <c r="A45" s="16" t="s">
        <v>32</v>
      </c>
      <c r="B45" s="56"/>
      <c r="C45" s="56"/>
      <c r="D45" s="56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27"/>
      <c r="P45" s="66"/>
      <c r="Q45" s="2"/>
      <c r="R45" s="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s="4" customFormat="1" ht="17.25" customHeight="1" x14ac:dyDescent="0.15">
      <c r="A46" s="19" t="s">
        <v>54</v>
      </c>
      <c r="B46" s="56">
        <v>2299</v>
      </c>
      <c r="C46" s="56">
        <v>1969</v>
      </c>
      <c r="D46" s="56">
        <v>2102</v>
      </c>
      <c r="E46" s="67">
        <f>2522.5/3</f>
        <v>840.83333333333337</v>
      </c>
      <c r="F46" s="67">
        <f>2837/3</f>
        <v>945.66666666666663</v>
      </c>
      <c r="G46" s="67">
        <f>2705.5/3</f>
        <v>901.83333333333337</v>
      </c>
      <c r="H46" s="67">
        <f>3318/3</f>
        <v>1106</v>
      </c>
      <c r="I46" s="67">
        <f>3638/3</f>
        <v>1212.6666666666667</v>
      </c>
      <c r="J46" s="67">
        <v>1059.33</v>
      </c>
      <c r="K46" s="67">
        <v>1099.33</v>
      </c>
      <c r="L46" s="67">
        <v>1583</v>
      </c>
      <c r="M46" s="67">
        <v>1708.33</v>
      </c>
      <c r="N46" s="67">
        <v>3616</v>
      </c>
      <c r="O46" s="27"/>
      <c r="P46" s="68" t="s">
        <v>29</v>
      </c>
      <c r="Q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s="4" customFormat="1" ht="17.25" customHeight="1" x14ac:dyDescent="0.15">
      <c r="A47" s="19" t="s">
        <v>55</v>
      </c>
      <c r="B47" s="56"/>
      <c r="C47" s="56"/>
      <c r="D47" s="56"/>
      <c r="E47" s="67">
        <f>1805/3</f>
        <v>601.66666666666663</v>
      </c>
      <c r="F47" s="67">
        <f>1565.5/3</f>
        <v>521.83333333333337</v>
      </c>
      <c r="G47" s="67">
        <f>1679.5/3</f>
        <v>559.83333333333337</v>
      </c>
      <c r="H47" s="67">
        <f>2208.5/3</f>
        <v>736.16666666666663</v>
      </c>
      <c r="I47" s="67">
        <f>2776/3</f>
        <v>925.33333333333337</v>
      </c>
      <c r="J47" s="67">
        <v>716.17</v>
      </c>
      <c r="K47" s="67">
        <v>716.17</v>
      </c>
      <c r="L47" s="67">
        <v>956.33</v>
      </c>
      <c r="M47" s="67">
        <v>1246.67</v>
      </c>
      <c r="N47" s="67">
        <v>2219</v>
      </c>
      <c r="O47" s="27"/>
      <c r="P47" s="69"/>
      <c r="Q47" s="3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s="4" customFormat="1" ht="17.25" customHeight="1" x14ac:dyDescent="0.15">
      <c r="A48" s="19" t="s">
        <v>56</v>
      </c>
      <c r="B48" s="70">
        <v>10.51</v>
      </c>
      <c r="C48" s="70">
        <v>12.11</v>
      </c>
      <c r="D48" s="70">
        <v>7.68</v>
      </c>
      <c r="E48" s="67">
        <v>9.82</v>
      </c>
      <c r="F48" s="71" t="s">
        <v>29</v>
      </c>
      <c r="G48" s="71">
        <v>8.66</v>
      </c>
      <c r="H48" s="71">
        <v>8.1</v>
      </c>
      <c r="I48" s="71">
        <v>8.25</v>
      </c>
      <c r="J48" s="71">
        <v>6.58</v>
      </c>
      <c r="K48" s="71">
        <v>26.78</v>
      </c>
      <c r="L48" s="71">
        <v>7.24</v>
      </c>
      <c r="M48" s="71">
        <v>5.87</v>
      </c>
      <c r="N48" s="71">
        <v>15.15</v>
      </c>
      <c r="O48" s="72"/>
      <c r="P48" s="73" t="s">
        <v>29</v>
      </c>
      <c r="Q48" s="2"/>
      <c r="R48" s="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s="4" customFormat="1" ht="17.25" customHeight="1" x14ac:dyDescent="0.15">
      <c r="A49" s="74" t="s">
        <v>57</v>
      </c>
      <c r="B49" s="75">
        <v>1.7</v>
      </c>
      <c r="C49" s="75">
        <v>1.1000000000000001</v>
      </c>
      <c r="D49" s="75">
        <v>1.1000000000000001</v>
      </c>
      <c r="E49" s="76">
        <v>0.70423969165878841</v>
      </c>
      <c r="F49" s="76">
        <v>0.65729772999382374</v>
      </c>
      <c r="G49" s="76">
        <v>0.77577117652179806</v>
      </c>
      <c r="H49" s="76">
        <v>0.85119291921697393</v>
      </c>
      <c r="I49" s="76">
        <v>0.85669630046498413</v>
      </c>
      <c r="J49" s="76">
        <v>0.65089597591798487</v>
      </c>
      <c r="K49" s="76">
        <v>0.82276933271277219</v>
      </c>
      <c r="L49" s="76">
        <v>0.98762146756858837</v>
      </c>
      <c r="M49" s="76">
        <v>0.84179647019434656</v>
      </c>
      <c r="N49" s="76">
        <v>1.5799942908150089</v>
      </c>
      <c r="O49" s="61"/>
      <c r="P49" s="77" t="s">
        <v>29</v>
      </c>
      <c r="Q49" s="2"/>
      <c r="R49" s="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s="4" customFormat="1" x14ac:dyDescent="0.15">
      <c r="A50" s="78" t="s">
        <v>44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s="4" customFormat="1" x14ac:dyDescent="0.15">
      <c r="A51" s="78" t="s">
        <v>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7"/>
      <c r="N51" s="37"/>
      <c r="O51" s="2"/>
      <c r="P51" s="2"/>
      <c r="Q51" s="2"/>
      <c r="R51" s="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s="4" customFormat="1" x14ac:dyDescent="0.15">
      <c r="A52" s="78" t="s">
        <v>42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5"/>
      <c r="N52" s="2"/>
      <c r="O52" s="2"/>
      <c r="P52" s="2"/>
      <c r="Q52" s="2"/>
      <c r="R52" s="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s="4" customFormat="1" x14ac:dyDescent="0.15">
      <c r="A53" s="78" t="s">
        <v>43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7"/>
      <c r="N53" s="37"/>
      <c r="O53" s="2"/>
      <c r="P53" s="2"/>
      <c r="Q53" s="2"/>
      <c r="R53" s="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15">
      <c r="A54" s="79" t="s">
        <v>48</v>
      </c>
    </row>
    <row r="55" spans="1:52" s="4" customFormat="1" x14ac:dyDescent="0.15">
      <c r="A55" s="78" t="s">
        <v>45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5"/>
      <c r="N55" s="2"/>
      <c r="O55" s="2"/>
      <c r="P55" s="2"/>
      <c r="Q55" s="2"/>
      <c r="R55" s="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15">
      <c r="A56" s="78" t="s">
        <v>46</v>
      </c>
    </row>
    <row r="57" spans="1:52" x14ac:dyDescent="0.15">
      <c r="A57" s="78" t="s">
        <v>47</v>
      </c>
    </row>
    <row r="58" spans="1:52" x14ac:dyDescent="0.15">
      <c r="A58" s="78"/>
    </row>
  </sheetData>
  <phoneticPr fontId="3"/>
  <pageMargins left="0.86614173228346458" right="0.35433070866141736" top="0.74803149606299213" bottom="0.39370078740157483" header="0.43307086614173229" footer="0.27559055118110237"/>
  <pageSetup paperSize="8" scale="68" orientation="landscape" cellComments="asDisplayed" r:id="rId1"/>
  <headerFooter alignWithMargins="0"/>
  <rowBreaks count="1" manualBreakCount="1">
    <brk id="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FH2024_ja</vt:lpstr>
      <vt:lpstr>FH2024_ja!Print_Area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2024-12-04T01:23:30Z</dcterms:created>
  <dcterms:modified xsi:type="dcterms:W3CDTF">2024-12-04T01:27:27Z</dcterms:modified>
  <cp:category/>
  <cp:contentStatus/>
</cp:coreProperties>
</file>